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480" windowHeight="100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C75" i="1" l="1"/>
  <c r="D44" i="1"/>
  <c r="D70" i="1"/>
  <c r="D69" i="1" s="1"/>
  <c r="D13" i="1"/>
  <c r="C7" i="1"/>
  <c r="D16" i="1"/>
  <c r="D45" i="1"/>
  <c r="C10" i="1"/>
  <c r="C22" i="1"/>
  <c r="B22" i="1"/>
  <c r="B13" i="1"/>
  <c r="B16" i="1" s="1"/>
  <c r="C13" i="1"/>
  <c r="B10" i="1"/>
  <c r="C39" i="1"/>
  <c r="C42" i="1"/>
  <c r="B15" i="1"/>
  <c r="C25" i="1"/>
  <c r="C28" i="1"/>
  <c r="C45" i="1"/>
  <c r="C59" i="1"/>
  <c r="C61" i="1"/>
  <c r="D19" i="1"/>
  <c r="D22" i="1" s="1"/>
  <c r="D26" i="1"/>
  <c r="D28" i="1" s="1"/>
  <c r="B28" i="1"/>
  <c r="B45" i="1"/>
  <c r="B61" i="1"/>
  <c r="D57" i="1"/>
  <c r="B57" i="1"/>
  <c r="D53" i="1"/>
  <c r="B53" i="1"/>
  <c r="B69" i="1"/>
  <c r="D10" i="1"/>
  <c r="C15" i="1"/>
  <c r="C16" i="1" s="1"/>
  <c r="B75" i="1" l="1"/>
  <c r="D75" i="1"/>
</calcChain>
</file>

<file path=xl/comments1.xml><?xml version="1.0" encoding="utf-8"?>
<comments xmlns="http://schemas.openxmlformats.org/spreadsheetml/2006/main">
  <authors>
    <author>Clive Arbuckle</author>
    <author>Alan Coyle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Clive Arbuckle:</t>
        </r>
        <r>
          <rPr>
            <sz val="9"/>
            <color indexed="81"/>
            <rFont val="Tahoma"/>
            <family val="2"/>
          </rPr>
          <t xml:space="preserve">
2011/12 P4 COWD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Clive Arbuckle:</t>
        </r>
        <r>
          <rPr>
            <sz val="9"/>
            <color indexed="81"/>
            <rFont val="Tahoma"/>
            <family val="2"/>
          </rPr>
          <t xml:space="preserve">
As at 2/9/11 per SFLA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Clive Arbuckle:</t>
        </r>
        <r>
          <rPr>
            <sz val="9"/>
            <color indexed="81"/>
            <rFont val="Tahoma"/>
            <family val="2"/>
          </rPr>
          <t xml:space="preserve">
2012/13 P6 COWD</t>
        </r>
      </text>
    </comment>
    <comment ref="D26" authorId="1">
      <text>
        <r>
          <rPr>
            <b/>
            <sz val="8"/>
            <color indexed="81"/>
            <rFont val="Tahoma"/>
            <family val="2"/>
          </rPr>
          <t>Alan Coyle:</t>
        </r>
        <r>
          <rPr>
            <sz val="8"/>
            <color indexed="81"/>
            <rFont val="Tahoma"/>
            <family val="2"/>
          </rPr>
          <t xml:space="preserve">
remainder of COWD from risk</t>
        </r>
      </text>
    </comment>
  </commentList>
</comments>
</file>

<file path=xl/sharedStrings.xml><?xml version="1.0" encoding="utf-8"?>
<sst xmlns="http://schemas.openxmlformats.org/spreadsheetml/2006/main" count="72" uniqueCount="55">
  <si>
    <t>Cost headings</t>
  </si>
  <si>
    <t>Project Costs</t>
  </si>
  <si>
    <t xml:space="preserve">  Bilfinger Berger</t>
  </si>
  <si>
    <t xml:space="preserve">  Siemens</t>
  </si>
  <si>
    <t xml:space="preserve">  Other</t>
  </si>
  <si>
    <t>Design</t>
  </si>
  <si>
    <t>TOTAL</t>
  </si>
  <si>
    <t>£'m</t>
  </si>
  <si>
    <t xml:space="preserve">COWD to Date  </t>
  </si>
  <si>
    <t xml:space="preserve">  Construction/Fabrication</t>
  </si>
  <si>
    <t xml:space="preserve">  Management &amp; Supervision</t>
  </si>
  <si>
    <t>Land, Property &amp; other costs</t>
  </si>
  <si>
    <t xml:space="preserve">  MUDFA</t>
  </si>
  <si>
    <t xml:space="preserve">  Post Settlement Agreement</t>
  </si>
  <si>
    <t xml:space="preserve">  Vehicle design</t>
  </si>
  <si>
    <t xml:space="preserve">  Manuals, special tools and spare parts</t>
  </si>
  <si>
    <t xml:space="preserve">  Delivery of trams</t>
  </si>
  <si>
    <t xml:space="preserve">  Insurance</t>
  </si>
  <si>
    <t xml:space="preserve">  Accommodation, And Support Costs</t>
  </si>
  <si>
    <t xml:space="preserve">  Transdev and Edinburgh Trams staff</t>
  </si>
  <si>
    <t xml:space="preserve">  Lothian Buses recharges and other costs</t>
  </si>
  <si>
    <t xml:space="preserve">  Ticketing machines</t>
  </si>
  <si>
    <t xml:space="preserve">  Others</t>
  </si>
  <si>
    <t xml:space="preserve">  External comms &amp; media</t>
  </si>
  <si>
    <t xml:space="preserve">  Stakeholder</t>
  </si>
  <si>
    <t xml:space="preserve">  DLA </t>
  </si>
  <si>
    <t xml:space="preserve">  Post Mediation</t>
  </si>
  <si>
    <t>On street infrastructure</t>
  </si>
  <si>
    <t>Off street infrastructure</t>
  </si>
  <si>
    <t>Other Infraco</t>
  </si>
  <si>
    <t>Utilities</t>
  </si>
  <si>
    <t>Vehicles</t>
  </si>
  <si>
    <t>Project Management</t>
  </si>
  <si>
    <t xml:space="preserve"> Readiness for Operations</t>
  </si>
  <si>
    <t>Comms &amp; Stakeholder</t>
  </si>
  <si>
    <t>Legal</t>
  </si>
  <si>
    <t>Contingency</t>
  </si>
  <si>
    <t>Cost prior to Settlement Agreement</t>
  </si>
  <si>
    <t>Budget post Settlement Agreement</t>
  </si>
  <si>
    <t>Notes</t>
  </si>
  <si>
    <t>TOTAL ON STREET</t>
  </si>
  <si>
    <t>TOTAL OFF STREET</t>
  </si>
  <si>
    <t>Note (This column will include narrative on variances in future reports)</t>
  </si>
  <si>
    <t>Cost Summary for Edinburgh Trams as at 2012/13 Period 6 Ending 15 September 2012</t>
  </si>
  <si>
    <t xml:space="preserve">  Settlement of claims system wide</t>
  </si>
  <si>
    <t>1.  As members are aware from the confidential appendix to the 25 August 2011 Council report the negotiations with the BBS consortium led to a figure of approximately £360m for;</t>
  </si>
  <si>
    <t>In order to ascertain an allocation of that figure for the purposes of this summary we have calculated that;</t>
  </si>
  <si>
    <t>(d) £49m relates to settlement in relation to system wide work</t>
  </si>
  <si>
    <t>(a) off street work;</t>
  </si>
  <si>
    <t>(b) settlement of claims in relation to off street;</t>
  </si>
  <si>
    <t>(c) settlement of claims in relation to on street; and</t>
  </si>
  <si>
    <t>(d) settlement of claims in relation to system wide work</t>
  </si>
  <si>
    <t>(a)  £204m relates to off street work;</t>
  </si>
  <si>
    <t>(b) £25m relates to settlment of claims in relation to off street;</t>
  </si>
  <si>
    <t>(c) £82m relates to settlement of claims in relation to on street;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</si>
</sst>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u/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 applyBorder="1" applyAlignment="1">
      <alignment horizont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wrapText="1"/>
    </xf>
    <xf numFmtId="0" fontId="1" fillId="0" borderId="2" xfId="0" applyFont="1" applyBorder="1"/>
    <xf numFmtId="164" fontId="1" fillId="0" borderId="3" xfId="0" applyNumberFormat="1" applyFont="1" applyBorder="1"/>
    <xf numFmtId="164" fontId="0" fillId="0" borderId="0" xfId="0" applyNumberFormat="1" applyBorder="1"/>
    <xf numFmtId="0" fontId="1" fillId="0" borderId="4" xfId="0" applyFont="1" applyBorder="1" applyAlignment="1">
      <alignment wrapText="1"/>
    </xf>
    <xf numFmtId="0" fontId="1" fillId="2" borderId="5" xfId="0" applyFont="1" applyFill="1" applyBorder="1"/>
    <xf numFmtId="164" fontId="0" fillId="2" borderId="6" xfId="0" applyNumberFormat="1" applyFill="1" applyBorder="1"/>
    <xf numFmtId="0" fontId="2" fillId="0" borderId="7" xfId="0" applyFont="1" applyBorder="1"/>
    <xf numFmtId="164" fontId="0" fillId="2" borderId="8" xfId="0" applyNumberFormat="1" applyFill="1" applyBorder="1"/>
    <xf numFmtId="0" fontId="0" fillId="0" borderId="7" xfId="0" applyBorder="1"/>
    <xf numFmtId="164" fontId="0" fillId="0" borderId="8" xfId="0" applyNumberFormat="1" applyBorder="1"/>
    <xf numFmtId="0" fontId="0" fillId="0" borderId="7" xfId="0" applyBorder="1" applyAlignment="1">
      <alignment wrapText="1"/>
    </xf>
    <xf numFmtId="164" fontId="0" fillId="0" borderId="8" xfId="0" applyNumberFormat="1" applyFill="1" applyBorder="1"/>
    <xf numFmtId="0" fontId="1" fillId="0" borderId="7" xfId="0" applyFont="1" applyBorder="1"/>
    <xf numFmtId="0" fontId="2" fillId="2" borderId="9" xfId="0" applyFont="1" applyFill="1" applyBorder="1"/>
    <xf numFmtId="0" fontId="0" fillId="0" borderId="9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2" borderId="9" xfId="0" applyFill="1" applyBorder="1"/>
    <xf numFmtId="0" fontId="6" fillId="2" borderId="9" xfId="0" applyFont="1" applyFill="1" applyBorder="1"/>
    <xf numFmtId="0" fontId="2" fillId="0" borderId="9" xfId="0" applyFont="1" applyBorder="1"/>
    <xf numFmtId="164" fontId="0" fillId="0" borderId="10" xfId="0" applyNumberFormat="1" applyBorder="1"/>
    <xf numFmtId="164" fontId="0" fillId="2" borderId="11" xfId="0" applyNumberFormat="1" applyFill="1" applyBorder="1"/>
    <xf numFmtId="164" fontId="0" fillId="0" borderId="11" xfId="0" applyNumberFormat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164" fontId="0" fillId="0" borderId="15" xfId="0" applyNumberFormat="1" applyBorder="1"/>
    <xf numFmtId="0" fontId="0" fillId="0" borderId="0" xfId="0" applyFill="1"/>
    <xf numFmtId="0" fontId="0" fillId="0" borderId="2" xfId="0" applyBorder="1"/>
    <xf numFmtId="164" fontId="0" fillId="0" borderId="3" xfId="0" applyNumberFormat="1" applyBorder="1"/>
    <xf numFmtId="0" fontId="0" fillId="0" borderId="13" xfId="0" applyBorder="1"/>
    <xf numFmtId="164" fontId="0" fillId="0" borderId="18" xfId="0" applyNumberFormat="1" applyBorder="1"/>
    <xf numFmtId="0" fontId="0" fillId="0" borderId="19" xfId="0" applyBorder="1"/>
    <xf numFmtId="0" fontId="0" fillId="0" borderId="10" xfId="0" applyBorder="1" applyAlignment="1">
      <alignment horizontal="center"/>
    </xf>
    <xf numFmtId="0" fontId="0" fillId="0" borderId="7" xfId="0" applyFill="1" applyBorder="1"/>
    <xf numFmtId="0" fontId="0" fillId="0" borderId="9" xfId="0" applyFill="1" applyBorder="1" applyAlignment="1">
      <alignment horizontal="left"/>
    </xf>
    <xf numFmtId="0" fontId="2" fillId="0" borderId="9" xfId="0" applyFont="1" applyFill="1" applyBorder="1"/>
    <xf numFmtId="0" fontId="1" fillId="0" borderId="9" xfId="0" applyFont="1" applyBorder="1"/>
    <xf numFmtId="0" fontId="0" fillId="0" borderId="17" xfId="0" applyFill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16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164" fontId="0" fillId="0" borderId="8" xfId="0" applyNumberFormat="1" applyFill="1" applyBorder="1" applyAlignment="1">
      <alignment vertical="center"/>
    </xf>
    <xf numFmtId="164" fontId="0" fillId="0" borderId="16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9"/>
  <sheetViews>
    <sheetView tabSelected="1" workbookViewId="0">
      <pane ySplit="4" topLeftCell="A5" activePane="bottomLeft" state="frozen"/>
      <selection pane="bottomLeft" activeCell="K9" sqref="K9"/>
    </sheetView>
  </sheetViews>
  <sheetFormatPr defaultRowHeight="15" x14ac:dyDescent="0.25"/>
  <cols>
    <col min="1" max="1" width="40.85546875" customWidth="1"/>
    <col min="2" max="4" width="15.7109375" style="4" customWidth="1"/>
    <col min="5" max="5" width="27.85546875" customWidth="1"/>
  </cols>
  <sheetData>
    <row r="1" spans="1:8" s="1" customFormat="1" x14ac:dyDescent="0.25">
      <c r="A1" s="6" t="s">
        <v>43</v>
      </c>
      <c r="B1" s="7"/>
      <c r="C1" s="7"/>
      <c r="D1" s="7"/>
      <c r="E1" s="33"/>
    </row>
    <row r="2" spans="1:8" x14ac:dyDescent="0.25">
      <c r="A2" s="14"/>
      <c r="B2" s="8"/>
      <c r="C2" s="8"/>
      <c r="D2" s="35"/>
      <c r="E2" s="34"/>
    </row>
    <row r="3" spans="1:8" s="2" customFormat="1" ht="45" x14ac:dyDescent="0.25">
      <c r="A3" s="9" t="s">
        <v>0</v>
      </c>
      <c r="B3" s="5" t="s">
        <v>37</v>
      </c>
      <c r="C3" s="5" t="s">
        <v>38</v>
      </c>
      <c r="D3" s="5" t="s">
        <v>8</v>
      </c>
      <c r="E3" s="30" t="s">
        <v>42</v>
      </c>
    </row>
    <row r="4" spans="1:8" s="2" customFormat="1" x14ac:dyDescent="0.25">
      <c r="A4" s="16"/>
      <c r="B4" s="3" t="s">
        <v>7</v>
      </c>
      <c r="C4" s="3" t="s">
        <v>7</v>
      </c>
      <c r="D4" s="3" t="s">
        <v>7</v>
      </c>
      <c r="E4" s="30"/>
    </row>
    <row r="5" spans="1:8" x14ac:dyDescent="0.25">
      <c r="A5" s="12" t="s">
        <v>1</v>
      </c>
      <c r="B5" s="8"/>
      <c r="C5" s="8"/>
      <c r="D5" s="8"/>
      <c r="E5" s="31"/>
    </row>
    <row r="6" spans="1:8" x14ac:dyDescent="0.25">
      <c r="A6" s="19" t="s">
        <v>27</v>
      </c>
      <c r="B6" s="13"/>
      <c r="C6" s="13"/>
      <c r="D6" s="28"/>
      <c r="E6" s="31"/>
    </row>
    <row r="7" spans="1:8" x14ac:dyDescent="0.25">
      <c r="A7" s="20" t="s">
        <v>2</v>
      </c>
      <c r="B7" s="50">
        <v>9.5</v>
      </c>
      <c r="C7" s="50">
        <f>109.8+11</f>
        <v>120.8</v>
      </c>
      <c r="D7" s="50">
        <v>110.49</v>
      </c>
      <c r="E7" s="48">
        <v>1</v>
      </c>
    </row>
    <row r="8" spans="1:8" x14ac:dyDescent="0.25">
      <c r="A8" s="20" t="s">
        <v>3</v>
      </c>
      <c r="B8" s="51"/>
      <c r="C8" s="51"/>
      <c r="D8" s="51"/>
      <c r="E8" s="49"/>
      <c r="G8" s="4"/>
      <c r="H8" s="4"/>
    </row>
    <row r="9" spans="1:8" x14ac:dyDescent="0.25">
      <c r="A9" s="20" t="s">
        <v>4</v>
      </c>
      <c r="B9" s="15">
        <v>0</v>
      </c>
      <c r="C9" s="15">
        <v>0</v>
      </c>
      <c r="D9" s="29">
        <v>0.18</v>
      </c>
      <c r="E9" s="42"/>
    </row>
    <row r="10" spans="1:8" x14ac:dyDescent="0.25">
      <c r="A10" s="21" t="s">
        <v>40</v>
      </c>
      <c r="B10" s="13">
        <f>SUM(B7:B9)</f>
        <v>9.5</v>
      </c>
      <c r="C10" s="13">
        <f>SUM(C7:C9)</f>
        <v>120.8</v>
      </c>
      <c r="D10" s="13">
        <f>SUM(D7:D9)</f>
        <v>110.67</v>
      </c>
      <c r="E10" s="42"/>
    </row>
    <row r="11" spans="1:8" x14ac:dyDescent="0.25">
      <c r="A11" s="14"/>
      <c r="B11" s="8"/>
      <c r="C11" s="8"/>
      <c r="D11" s="8"/>
      <c r="E11" s="42"/>
    </row>
    <row r="12" spans="1:8" x14ac:dyDescent="0.25">
      <c r="A12" s="19" t="s">
        <v>28</v>
      </c>
      <c r="B12" s="13"/>
      <c r="C12" s="13"/>
      <c r="D12" s="28"/>
      <c r="E12" s="42"/>
    </row>
    <row r="13" spans="1:8" x14ac:dyDescent="0.25">
      <c r="A13" s="22" t="s">
        <v>2</v>
      </c>
      <c r="B13" s="52">
        <f>(185.82-3.76+6.03)*114.08/190.82+(185.82-3.76+6.03)*76.74/190.82-49-9.5</f>
        <v>129.59</v>
      </c>
      <c r="C13" s="52">
        <f>360.06-82-49</f>
        <v>229.06</v>
      </c>
      <c r="D13" s="52">
        <f>(221.48-(17.71-2.16))/(221.48+104.04-17.71)*310.42+(104.04-2.16)/(221.48+104.04-17.71)*310.42-82-49+0.37-9.5-3.4</f>
        <v>166.88999999999996</v>
      </c>
      <c r="E13" s="48">
        <v>1</v>
      </c>
    </row>
    <row r="14" spans="1:8" x14ac:dyDescent="0.25">
      <c r="A14" s="22" t="s">
        <v>3</v>
      </c>
      <c r="B14" s="52"/>
      <c r="C14" s="52"/>
      <c r="D14" s="52"/>
      <c r="E14" s="49"/>
    </row>
    <row r="15" spans="1:8" x14ac:dyDescent="0.25">
      <c r="A15" s="22" t="s">
        <v>4</v>
      </c>
      <c r="B15" s="15">
        <f>14.78+3.75</f>
        <v>18.53</v>
      </c>
      <c r="C15" s="15">
        <f>B15-0.44</f>
        <v>18.09</v>
      </c>
      <c r="D15" s="29">
        <v>18.600000000000001</v>
      </c>
      <c r="E15" s="42"/>
    </row>
    <row r="16" spans="1:8" x14ac:dyDescent="0.25">
      <c r="A16" s="21" t="s">
        <v>41</v>
      </c>
      <c r="B16" s="13">
        <f>SUM(B13:B15)</f>
        <v>148.12</v>
      </c>
      <c r="C16" s="13">
        <f>SUM(C13:C15)</f>
        <v>247.15</v>
      </c>
      <c r="D16" s="13">
        <f>SUM(D13:D15)</f>
        <v>185.48999999999995</v>
      </c>
      <c r="E16" s="42"/>
    </row>
    <row r="17" spans="1:5" s="36" customFormat="1" x14ac:dyDescent="0.25">
      <c r="A17" s="44"/>
      <c r="B17" s="17"/>
      <c r="C17" s="17"/>
      <c r="D17" s="17"/>
      <c r="E17" s="42"/>
    </row>
    <row r="18" spans="1:5" x14ac:dyDescent="0.25">
      <c r="A18" s="19" t="s">
        <v>29</v>
      </c>
      <c r="B18" s="13"/>
      <c r="C18" s="13"/>
      <c r="D18" s="28"/>
      <c r="E18" s="42"/>
    </row>
    <row r="19" spans="1:5" x14ac:dyDescent="0.25">
      <c r="A19" s="22" t="s">
        <v>2</v>
      </c>
      <c r="B19" s="15">
        <v>0</v>
      </c>
      <c r="C19" s="15">
        <v>0</v>
      </c>
      <c r="D19" s="29">
        <f>1.4-1.4</f>
        <v>0</v>
      </c>
      <c r="E19" s="42"/>
    </row>
    <row r="20" spans="1:5" x14ac:dyDescent="0.25">
      <c r="A20" s="22" t="s">
        <v>3</v>
      </c>
      <c r="B20" s="15">
        <v>0.27</v>
      </c>
      <c r="C20" s="15">
        <v>3.2</v>
      </c>
      <c r="D20" s="29">
        <v>0.66</v>
      </c>
      <c r="E20" s="42"/>
    </row>
    <row r="21" spans="1:5" x14ac:dyDescent="0.25">
      <c r="A21" s="44" t="s">
        <v>44</v>
      </c>
      <c r="B21" s="17">
        <v>49</v>
      </c>
      <c r="C21" s="17">
        <v>49</v>
      </c>
      <c r="D21" s="17">
        <v>49</v>
      </c>
      <c r="E21" s="42">
        <v>1</v>
      </c>
    </row>
    <row r="22" spans="1:5" x14ac:dyDescent="0.25">
      <c r="A22" s="21" t="s">
        <v>6</v>
      </c>
      <c r="B22" s="13">
        <f>SUM(B19:B21)</f>
        <v>49.27</v>
      </c>
      <c r="C22" s="13">
        <f>SUM(C19:C21)</f>
        <v>52.2</v>
      </c>
      <c r="D22" s="13">
        <f>SUM(D19:D21)</f>
        <v>49.66</v>
      </c>
      <c r="E22" s="42"/>
    </row>
    <row r="23" spans="1:5" x14ac:dyDescent="0.25">
      <c r="A23" s="14"/>
      <c r="B23" s="8"/>
      <c r="C23" s="8"/>
      <c r="D23" s="8"/>
      <c r="E23" s="42"/>
    </row>
    <row r="24" spans="1:5" x14ac:dyDescent="0.25">
      <c r="A24" s="19" t="s">
        <v>30</v>
      </c>
      <c r="B24" s="13"/>
      <c r="C24" s="13"/>
      <c r="D24" s="28"/>
      <c r="E24" s="42"/>
    </row>
    <row r="25" spans="1:5" x14ac:dyDescent="0.25">
      <c r="A25" s="22" t="s">
        <v>12</v>
      </c>
      <c r="B25" s="15">
        <v>57.252000000000002</v>
      </c>
      <c r="C25" s="15">
        <f>D25</f>
        <v>57.252000000000002</v>
      </c>
      <c r="D25" s="29">
        <v>57.252000000000002</v>
      </c>
      <c r="E25" s="42"/>
    </row>
    <row r="26" spans="1:5" x14ac:dyDescent="0.25">
      <c r="A26" s="22" t="s">
        <v>13</v>
      </c>
      <c r="B26" s="15">
        <v>0</v>
      </c>
      <c r="C26" s="15">
        <v>2.91</v>
      </c>
      <c r="D26" s="29">
        <f>13.578-10.668</f>
        <v>2.91</v>
      </c>
      <c r="E26" s="42"/>
    </row>
    <row r="27" spans="1:5" x14ac:dyDescent="0.25">
      <c r="A27" s="22" t="s">
        <v>4</v>
      </c>
      <c r="B27" s="15">
        <v>26.167999999999999</v>
      </c>
      <c r="C27" s="15">
        <v>27.428000000000004</v>
      </c>
      <c r="D27" s="29">
        <v>25.55</v>
      </c>
      <c r="E27" s="42"/>
    </row>
    <row r="28" spans="1:5" x14ac:dyDescent="0.25">
      <c r="A28" s="21" t="s">
        <v>6</v>
      </c>
      <c r="B28" s="13">
        <f>SUM(B25:B27)</f>
        <v>83.42</v>
      </c>
      <c r="C28" s="13">
        <f>SUM(C25:C27)</f>
        <v>87.59</v>
      </c>
      <c r="D28" s="28">
        <f>SUM(D25:D27)</f>
        <v>85.712000000000003</v>
      </c>
      <c r="E28" s="42"/>
    </row>
    <row r="29" spans="1:5" s="36" customFormat="1" x14ac:dyDescent="0.25">
      <c r="A29" s="44"/>
      <c r="B29" s="17"/>
      <c r="C29" s="17"/>
      <c r="D29" s="17"/>
      <c r="E29" s="42"/>
    </row>
    <row r="30" spans="1:5" s="36" customFormat="1" x14ac:dyDescent="0.25">
      <c r="A30" s="44"/>
      <c r="B30" s="17"/>
      <c r="C30" s="17"/>
      <c r="D30" s="17"/>
      <c r="E30" s="42"/>
    </row>
    <row r="31" spans="1:5" s="36" customFormat="1" x14ac:dyDescent="0.25">
      <c r="A31" s="44"/>
      <c r="B31" s="17"/>
      <c r="C31" s="17"/>
      <c r="D31" s="17"/>
      <c r="E31" s="42"/>
    </row>
    <row r="32" spans="1:5" x14ac:dyDescent="0.25">
      <c r="A32" s="22"/>
      <c r="B32" s="15"/>
      <c r="C32" s="15"/>
      <c r="D32" s="15"/>
      <c r="E32" s="42"/>
    </row>
    <row r="33" spans="1:5" x14ac:dyDescent="0.25">
      <c r="A33" s="19" t="s">
        <v>31</v>
      </c>
      <c r="B33" s="13"/>
      <c r="C33" s="13"/>
      <c r="D33" s="28"/>
      <c r="E33" s="42"/>
    </row>
    <row r="34" spans="1:5" x14ac:dyDescent="0.25">
      <c r="A34" s="22" t="s">
        <v>9</v>
      </c>
      <c r="B34" s="15">
        <v>23.448</v>
      </c>
      <c r="C34" s="53">
        <v>62.4</v>
      </c>
      <c r="D34" s="29">
        <v>23.45</v>
      </c>
      <c r="E34" s="31"/>
    </row>
    <row r="35" spans="1:5" x14ac:dyDescent="0.25">
      <c r="A35" s="22" t="s">
        <v>14</v>
      </c>
      <c r="B35" s="15">
        <v>2.7519999999999998</v>
      </c>
      <c r="C35" s="54"/>
      <c r="D35" s="29">
        <v>2.7519999999999998</v>
      </c>
      <c r="E35" s="31"/>
    </row>
    <row r="36" spans="1:5" x14ac:dyDescent="0.25">
      <c r="A36" s="22" t="s">
        <v>15</v>
      </c>
      <c r="B36" s="15">
        <v>4.4029999999999996</v>
      </c>
      <c r="C36" s="54"/>
      <c r="D36" s="29">
        <v>4.4029999999999996</v>
      </c>
      <c r="E36" s="31"/>
    </row>
    <row r="37" spans="1:5" x14ac:dyDescent="0.25">
      <c r="A37" s="22" t="s">
        <v>16</v>
      </c>
      <c r="B37" s="15">
        <v>4.5129999999999999</v>
      </c>
      <c r="C37" s="54"/>
      <c r="D37" s="29">
        <v>4.5129999999999999</v>
      </c>
      <c r="E37" s="31"/>
    </row>
    <row r="38" spans="1:5" x14ac:dyDescent="0.25">
      <c r="A38" s="22" t="s">
        <v>4</v>
      </c>
      <c r="B38" s="15">
        <v>12.78</v>
      </c>
      <c r="C38" s="55"/>
      <c r="D38" s="29">
        <v>25.71</v>
      </c>
      <c r="E38" s="31"/>
    </row>
    <row r="39" spans="1:5" x14ac:dyDescent="0.25">
      <c r="A39" s="21" t="s">
        <v>6</v>
      </c>
      <c r="B39" s="13">
        <v>47.9</v>
      </c>
      <c r="C39" s="13">
        <f>SUM(C34)</f>
        <v>62.4</v>
      </c>
      <c r="D39" s="28">
        <v>60.83</v>
      </c>
      <c r="E39" s="31"/>
    </row>
    <row r="40" spans="1:5" x14ac:dyDescent="0.25">
      <c r="A40" s="14"/>
      <c r="B40" s="8"/>
      <c r="C40" s="8"/>
      <c r="D40" s="8"/>
      <c r="E40" s="31"/>
    </row>
    <row r="41" spans="1:5" x14ac:dyDescent="0.25">
      <c r="A41" s="19" t="s">
        <v>32</v>
      </c>
      <c r="B41" s="13"/>
      <c r="C41" s="13"/>
      <c r="D41" s="28"/>
      <c r="E41" s="31"/>
    </row>
    <row r="42" spans="1:5" x14ac:dyDescent="0.25">
      <c r="A42" s="22" t="s">
        <v>10</v>
      </c>
      <c r="B42" s="15">
        <v>52.68</v>
      </c>
      <c r="C42" s="15">
        <f>65.8-4.84</f>
        <v>60.959999999999994</v>
      </c>
      <c r="D42" s="29">
        <v>63.94</v>
      </c>
      <c r="E42" s="31"/>
    </row>
    <row r="43" spans="1:5" x14ac:dyDescent="0.25">
      <c r="A43" s="22" t="s">
        <v>17</v>
      </c>
      <c r="B43" s="15">
        <v>4.05</v>
      </c>
      <c r="C43" s="15">
        <v>4.84</v>
      </c>
      <c r="D43" s="29">
        <v>4.9619999999999997</v>
      </c>
      <c r="E43" s="31"/>
    </row>
    <row r="44" spans="1:5" x14ac:dyDescent="0.25">
      <c r="A44" s="23" t="s">
        <v>18</v>
      </c>
      <c r="B44" s="15">
        <v>12.47</v>
      </c>
      <c r="C44" s="15">
        <v>17.309999999999999</v>
      </c>
      <c r="D44" s="29">
        <f>13.718+0.5</f>
        <v>14.218</v>
      </c>
      <c r="E44" s="31"/>
    </row>
    <row r="45" spans="1:5" x14ac:dyDescent="0.25">
      <c r="A45" s="21" t="s">
        <v>6</v>
      </c>
      <c r="B45" s="13">
        <f>SUM(B42:B44)</f>
        <v>69.2</v>
      </c>
      <c r="C45" s="13">
        <f>SUM(C42:C44)</f>
        <v>83.11</v>
      </c>
      <c r="D45" s="28">
        <f>SUM(D42:D44)</f>
        <v>83.12</v>
      </c>
      <c r="E45" s="31"/>
    </row>
    <row r="46" spans="1:5" x14ac:dyDescent="0.25">
      <c r="A46" s="16"/>
      <c r="B46" s="8"/>
      <c r="C46" s="8"/>
      <c r="D46" s="8"/>
      <c r="E46" s="31"/>
    </row>
    <row r="47" spans="1:5" x14ac:dyDescent="0.25">
      <c r="A47" s="24" t="s">
        <v>11</v>
      </c>
      <c r="B47" s="13">
        <v>28.85</v>
      </c>
      <c r="C47" s="13">
        <v>36.049999999999997</v>
      </c>
      <c r="D47" s="28">
        <v>34.380000000000003</v>
      </c>
      <c r="E47" s="31"/>
    </row>
    <row r="48" spans="1:5" x14ac:dyDescent="0.25">
      <c r="A48" s="16"/>
      <c r="B48" s="8"/>
      <c r="C48" s="8"/>
      <c r="D48" s="8"/>
      <c r="E48" s="31"/>
    </row>
    <row r="49" spans="1:5" x14ac:dyDescent="0.25">
      <c r="A49" s="19" t="s">
        <v>33</v>
      </c>
      <c r="B49" s="13"/>
      <c r="C49" s="13"/>
      <c r="D49" s="28"/>
      <c r="E49" s="31"/>
    </row>
    <row r="50" spans="1:5" x14ac:dyDescent="0.25">
      <c r="A50" s="22" t="s">
        <v>19</v>
      </c>
      <c r="B50" s="15">
        <v>2.8340000000000001</v>
      </c>
      <c r="C50" s="53">
        <v>12.07</v>
      </c>
      <c r="D50" s="29">
        <v>3.8069999999999999</v>
      </c>
      <c r="E50" s="31"/>
    </row>
    <row r="51" spans="1:5" x14ac:dyDescent="0.25">
      <c r="A51" s="22" t="s">
        <v>20</v>
      </c>
      <c r="B51" s="15">
        <v>2.4279999999999999</v>
      </c>
      <c r="C51" s="54"/>
      <c r="D51" s="29">
        <v>2.6720000000000002</v>
      </c>
      <c r="E51" s="31"/>
    </row>
    <row r="52" spans="1:5" x14ac:dyDescent="0.25">
      <c r="A52" s="22" t="s">
        <v>21</v>
      </c>
      <c r="B52" s="15">
        <v>0.14399999999999999</v>
      </c>
      <c r="C52" s="54"/>
      <c r="D52" s="29">
        <v>0.14499999999999999</v>
      </c>
      <c r="E52" s="31"/>
    </row>
    <row r="53" spans="1:5" x14ac:dyDescent="0.25">
      <c r="A53" s="22" t="s">
        <v>22</v>
      </c>
      <c r="B53" s="15">
        <f>B54-B50-B51-B52</f>
        <v>9.4E-2</v>
      </c>
      <c r="C53" s="55"/>
      <c r="D53" s="29">
        <f>D54-D50-D51-D52</f>
        <v>0.17599999999999974</v>
      </c>
      <c r="E53" s="31"/>
    </row>
    <row r="54" spans="1:5" x14ac:dyDescent="0.25">
      <c r="A54" s="21" t="s">
        <v>6</v>
      </c>
      <c r="B54" s="13">
        <v>5.5</v>
      </c>
      <c r="C54" s="13">
        <v>12.07</v>
      </c>
      <c r="D54" s="28">
        <v>6.8</v>
      </c>
      <c r="E54" s="31"/>
    </row>
    <row r="55" spans="1:5" x14ac:dyDescent="0.25">
      <c r="A55" s="14"/>
      <c r="B55" s="8"/>
      <c r="C55" s="8"/>
      <c r="D55" s="8"/>
      <c r="E55" s="31"/>
    </row>
    <row r="56" spans="1:5" x14ac:dyDescent="0.25">
      <c r="A56" s="25" t="s">
        <v>34</v>
      </c>
      <c r="B56" s="13"/>
      <c r="C56" s="13"/>
      <c r="D56" s="28"/>
      <c r="E56" s="31"/>
    </row>
    <row r="57" spans="1:5" x14ac:dyDescent="0.25">
      <c r="A57" s="22" t="s">
        <v>23</v>
      </c>
      <c r="B57" s="15">
        <f>B59-B58</f>
        <v>2.2039999999999997</v>
      </c>
      <c r="C57" s="53">
        <v>4.3600000000000003</v>
      </c>
      <c r="D57" s="29">
        <f>D59-D58</f>
        <v>2.629</v>
      </c>
      <c r="E57" s="31"/>
    </row>
    <row r="58" spans="1:5" x14ac:dyDescent="0.25">
      <c r="A58" s="22" t="s">
        <v>24</v>
      </c>
      <c r="B58" s="15">
        <v>0.75600000000000001</v>
      </c>
      <c r="C58" s="55"/>
      <c r="D58" s="29">
        <v>0.80100000000000005</v>
      </c>
      <c r="E58" s="31"/>
    </row>
    <row r="59" spans="1:5" x14ac:dyDescent="0.25">
      <c r="A59" s="21" t="s">
        <v>6</v>
      </c>
      <c r="B59" s="13">
        <v>2.96</v>
      </c>
      <c r="C59" s="13">
        <f>B59+0.3+1.1</f>
        <v>4.3599999999999994</v>
      </c>
      <c r="D59" s="28">
        <v>3.43</v>
      </c>
      <c r="E59" s="27"/>
    </row>
    <row r="60" spans="1:5" x14ac:dyDescent="0.25">
      <c r="A60" s="14"/>
      <c r="B60" s="8"/>
      <c r="C60" s="8"/>
      <c r="D60" s="8"/>
      <c r="E60" s="31"/>
    </row>
    <row r="61" spans="1:5" x14ac:dyDescent="0.25">
      <c r="A61" s="19" t="s">
        <v>5</v>
      </c>
      <c r="B61" s="13">
        <f>33.21-6.03</f>
        <v>27.18</v>
      </c>
      <c r="C61" s="13">
        <f>28.75+0.3</f>
        <v>29.05</v>
      </c>
      <c r="D61" s="28">
        <v>26.69</v>
      </c>
      <c r="E61" s="31"/>
    </row>
    <row r="62" spans="1:5" x14ac:dyDescent="0.25">
      <c r="A62" s="45"/>
      <c r="B62" s="17"/>
      <c r="C62" s="17"/>
      <c r="D62" s="17"/>
      <c r="E62" s="31"/>
    </row>
    <row r="63" spans="1:5" x14ac:dyDescent="0.25">
      <c r="A63" s="45"/>
      <c r="B63" s="17"/>
      <c r="C63" s="17"/>
      <c r="D63" s="17"/>
      <c r="E63" s="31"/>
    </row>
    <row r="64" spans="1:5" x14ac:dyDescent="0.25">
      <c r="A64" s="45"/>
      <c r="B64" s="17"/>
      <c r="C64" s="17"/>
      <c r="D64" s="17"/>
      <c r="E64" s="31"/>
    </row>
    <row r="65" spans="1:10" x14ac:dyDescent="0.25">
      <c r="A65" s="45"/>
      <c r="B65" s="17"/>
      <c r="C65" s="17"/>
      <c r="D65" s="17"/>
      <c r="E65" s="31"/>
    </row>
    <row r="66" spans="1:10" x14ac:dyDescent="0.25">
      <c r="A66" s="19" t="s">
        <v>35</v>
      </c>
      <c r="B66" s="13"/>
      <c r="C66" s="13"/>
      <c r="D66" s="28"/>
      <c r="E66" s="31"/>
      <c r="J66" s="4"/>
    </row>
    <row r="67" spans="1:10" x14ac:dyDescent="0.25">
      <c r="A67" s="22" t="s">
        <v>25</v>
      </c>
      <c r="B67" s="15">
        <v>3.5009999999999999</v>
      </c>
      <c r="C67" s="53">
        <v>7.22</v>
      </c>
      <c r="D67" s="29">
        <v>3.5019999999999998</v>
      </c>
      <c r="E67" s="31"/>
    </row>
    <row r="68" spans="1:10" x14ac:dyDescent="0.25">
      <c r="A68" s="22" t="s">
        <v>26</v>
      </c>
      <c r="B68" s="15">
        <v>0</v>
      </c>
      <c r="C68" s="54"/>
      <c r="D68" s="29">
        <v>1.294</v>
      </c>
      <c r="E68" s="31"/>
    </row>
    <row r="69" spans="1:10" x14ac:dyDescent="0.25">
      <c r="A69" s="22" t="s">
        <v>4</v>
      </c>
      <c r="B69" s="15">
        <f>B70-B67-B68</f>
        <v>2.8690000000000002</v>
      </c>
      <c r="C69" s="55"/>
      <c r="D69" s="29">
        <f>D70-D67-D68</f>
        <v>2.4140000000000001</v>
      </c>
      <c r="E69" s="31"/>
    </row>
    <row r="70" spans="1:10" x14ac:dyDescent="0.25">
      <c r="A70" s="21" t="s">
        <v>6</v>
      </c>
      <c r="B70" s="13">
        <v>6.37</v>
      </c>
      <c r="C70" s="13">
        <v>7.22</v>
      </c>
      <c r="D70" s="28">
        <f>7.71-0.5</f>
        <v>7.21</v>
      </c>
      <c r="E70" s="27"/>
    </row>
    <row r="71" spans="1:10" x14ac:dyDescent="0.25">
      <c r="A71" s="46"/>
      <c r="B71" s="15"/>
      <c r="C71" s="15"/>
      <c r="D71" s="15"/>
      <c r="E71" s="31"/>
    </row>
    <row r="72" spans="1:10" x14ac:dyDescent="0.25">
      <c r="A72" s="22"/>
      <c r="B72" s="15"/>
      <c r="C72" s="15"/>
      <c r="D72" s="29"/>
      <c r="E72" s="31"/>
    </row>
    <row r="73" spans="1:10" x14ac:dyDescent="0.25">
      <c r="A73" s="26" t="s">
        <v>36</v>
      </c>
      <c r="B73" s="15">
        <v>0</v>
      </c>
      <c r="C73" s="15">
        <v>34</v>
      </c>
      <c r="D73" s="29">
        <v>15.1</v>
      </c>
      <c r="E73" s="31"/>
    </row>
    <row r="74" spans="1:10" x14ac:dyDescent="0.25">
      <c r="A74" s="18"/>
      <c r="B74" s="8"/>
      <c r="C74" s="8"/>
      <c r="D74" s="8"/>
      <c r="E74" s="31"/>
    </row>
    <row r="75" spans="1:10" ht="15.75" thickBot="1" x14ac:dyDescent="0.3">
      <c r="A75" s="10" t="s">
        <v>6</v>
      </c>
      <c r="B75" s="11">
        <f>SUM(B10,B16,,B22,B28,B39,B45,B47,B54,B59,B61,B70)</f>
        <v>478.27</v>
      </c>
      <c r="C75" s="11">
        <f>SUM(C72,C70,C61,C59,C54,C47,C45,C39,C28,C22,C16,C10,C73)</f>
        <v>776</v>
      </c>
      <c r="D75" s="11">
        <f>SUM(D10,D16,D22,D28,D39,D45,D47,D54,D59,D61,D70,D73)</f>
        <v>669.09199999999998</v>
      </c>
      <c r="E75" s="32"/>
    </row>
    <row r="76" spans="1:10" ht="15.75" thickBot="1" x14ac:dyDescent="0.3">
      <c r="A76" s="14"/>
      <c r="B76" s="8"/>
      <c r="C76" s="8"/>
      <c r="D76" s="8"/>
      <c r="E76" s="34"/>
    </row>
    <row r="77" spans="1:10" x14ac:dyDescent="0.25">
      <c r="A77" s="37" t="s">
        <v>39</v>
      </c>
      <c r="B77" s="38"/>
      <c r="C77" s="38"/>
      <c r="D77" s="38"/>
      <c r="E77" s="39"/>
    </row>
    <row r="78" spans="1:10" x14ac:dyDescent="0.25">
      <c r="A78" s="16"/>
      <c r="B78" s="8"/>
      <c r="C78" s="8"/>
      <c r="D78" s="8"/>
      <c r="E78" s="34"/>
    </row>
    <row r="79" spans="1:10" ht="75" x14ac:dyDescent="0.25">
      <c r="A79" s="16" t="s">
        <v>45</v>
      </c>
      <c r="B79" s="8"/>
      <c r="C79" s="8"/>
      <c r="D79" s="8"/>
      <c r="E79" s="34"/>
    </row>
    <row r="80" spans="1:10" x14ac:dyDescent="0.25">
      <c r="A80" s="14" t="s">
        <v>48</v>
      </c>
      <c r="B80" s="8"/>
      <c r="C80" s="8"/>
      <c r="D80" s="8"/>
      <c r="E80" s="34"/>
    </row>
    <row r="81" spans="1:5" x14ac:dyDescent="0.25">
      <c r="A81" s="14" t="s">
        <v>49</v>
      </c>
      <c r="B81" s="8"/>
      <c r="C81" s="8"/>
      <c r="D81" s="8"/>
      <c r="E81" s="34"/>
    </row>
    <row r="82" spans="1:5" x14ac:dyDescent="0.25">
      <c r="A82" s="43" t="s">
        <v>50</v>
      </c>
      <c r="B82" s="8"/>
      <c r="C82" s="8"/>
      <c r="D82" s="8"/>
      <c r="E82" s="34"/>
    </row>
    <row r="83" spans="1:5" x14ac:dyDescent="0.25">
      <c r="A83" s="43" t="s">
        <v>51</v>
      </c>
      <c r="B83" s="8"/>
      <c r="C83" s="8"/>
      <c r="D83" s="8"/>
      <c r="E83" s="34"/>
    </row>
    <row r="84" spans="1:5" x14ac:dyDescent="0.25">
      <c r="A84" s="14"/>
      <c r="B84" s="8"/>
      <c r="C84" s="8"/>
      <c r="D84" s="8"/>
      <c r="E84" s="34"/>
    </row>
    <row r="85" spans="1:5" x14ac:dyDescent="0.25">
      <c r="A85" s="14" t="s">
        <v>46</v>
      </c>
      <c r="B85" s="8"/>
      <c r="C85" s="8"/>
      <c r="D85" s="8"/>
      <c r="E85" s="34"/>
    </row>
    <row r="86" spans="1:5" x14ac:dyDescent="0.25">
      <c r="A86" s="14" t="s">
        <v>52</v>
      </c>
      <c r="B86" s="8"/>
      <c r="C86" s="8"/>
      <c r="D86" s="8"/>
      <c r="E86" s="34"/>
    </row>
    <row r="87" spans="1:5" x14ac:dyDescent="0.25">
      <c r="A87" s="14" t="s">
        <v>53</v>
      </c>
      <c r="B87" s="8"/>
      <c r="C87" s="8"/>
      <c r="D87" s="8"/>
      <c r="E87" s="34"/>
    </row>
    <row r="88" spans="1:5" x14ac:dyDescent="0.25">
      <c r="A88" s="43" t="s">
        <v>54</v>
      </c>
      <c r="B88" s="8"/>
      <c r="C88" s="8"/>
      <c r="D88" s="8"/>
      <c r="E88" s="34"/>
    </row>
    <row r="89" spans="1:5" ht="15.75" thickBot="1" x14ac:dyDescent="0.3">
      <c r="A89" s="47" t="s">
        <v>47</v>
      </c>
      <c r="B89" s="40"/>
      <c r="C89" s="40"/>
      <c r="D89" s="40"/>
      <c r="E89" s="41"/>
    </row>
  </sheetData>
  <mergeCells count="12">
    <mergeCell ref="C34:C38"/>
    <mergeCell ref="C50:C53"/>
    <mergeCell ref="C57:C58"/>
    <mergeCell ref="C67:C69"/>
    <mergeCell ref="E7:E8"/>
    <mergeCell ref="E13:E14"/>
    <mergeCell ref="B7:B8"/>
    <mergeCell ref="C7:C8"/>
    <mergeCell ref="D7:D8"/>
    <mergeCell ref="D13:D14"/>
    <mergeCell ref="B13:B14"/>
    <mergeCell ref="C13:C1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9C2D3322B4A43AE75E2744603CF2E" ma:contentTypeVersion="0" ma:contentTypeDescription="Create a new document." ma:contentTypeScope="" ma:versionID="82b10ed812e601464d46f0b71c3db9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2D500B-2ADA-42B0-98D3-0D7184E2F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C77A4-549C-4711-8F75-14DD939F4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11CBC9-086A-4992-B962-675EE8C42252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 Arbuckle</dc:creator>
  <cp:lastModifiedBy>Alan Coyle</cp:lastModifiedBy>
  <cp:lastPrinted>2012-11-01T14:49:58Z</cp:lastPrinted>
  <dcterms:created xsi:type="dcterms:W3CDTF">2012-10-30T12:08:04Z</dcterms:created>
  <dcterms:modified xsi:type="dcterms:W3CDTF">2012-11-01T21:36:05Z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0x0101006819C2D3322B4A43AE75E2744603CF2E</vt:lpwstr>
  </property>
</Properties>
</file>